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715" windowHeight="20490"/>
  </bookViews>
  <sheets>
    <sheet name="Feuil1" sheetId="1" r:id="rId1"/>
  </sheets>
  <definedNames>
    <definedName name="_xlnm.Print_Area" localSheetId="0">Feuil1!$A$1:$V$54</definedName>
  </definedNames>
  <calcPr calcId="144525"/>
</workbook>
</file>

<file path=xl/calcChain.xml><?xml version="1.0" encoding="utf-8"?>
<calcChain xmlns="http://schemas.openxmlformats.org/spreadsheetml/2006/main">
  <c r="H10" i="1" l="1"/>
  <c r="M54" i="1" l="1"/>
  <c r="AT14" i="1"/>
  <c r="AK15" i="1"/>
  <c r="AK8" i="1"/>
  <c r="AK7" i="1"/>
  <c r="AO19" i="1"/>
  <c r="AI19" i="1" s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5" i="1"/>
  <c r="AH26" i="1"/>
  <c r="AH27" i="1"/>
  <c r="AH24" i="1"/>
  <c r="AH23" i="1"/>
  <c r="AH22" i="1"/>
  <c r="AH19" i="1"/>
  <c r="AH20" i="1"/>
  <c r="AH21" i="1"/>
  <c r="AH18" i="1"/>
  <c r="M29" i="1"/>
  <c r="M30" i="1"/>
  <c r="M31" i="1"/>
  <c r="M32" i="1"/>
  <c r="M33" i="1"/>
  <c r="M34" i="1"/>
  <c r="M35" i="1"/>
  <c r="M36" i="1"/>
  <c r="M37" i="1"/>
  <c r="M38" i="1"/>
  <c r="M28" i="1"/>
  <c r="AK6" i="1" l="1"/>
  <c r="AK14" i="1" s="1"/>
  <c r="AI21" i="1"/>
  <c r="AI31" i="1"/>
  <c r="AJ31" i="1" s="1"/>
  <c r="AI41" i="1"/>
  <c r="AJ41" i="1" s="1"/>
  <c r="AI30" i="1"/>
  <c r="AJ30" i="1" s="1"/>
  <c r="AI32" i="1"/>
  <c r="AJ32" i="1" s="1"/>
  <c r="AI23" i="1"/>
  <c r="AJ23" i="1" s="1"/>
  <c r="AI25" i="1"/>
  <c r="AJ25" i="1" s="1"/>
  <c r="AI37" i="1"/>
  <c r="AJ37" i="1" s="1"/>
  <c r="AI40" i="1"/>
  <c r="AJ40" i="1" s="1"/>
  <c r="AI22" i="1"/>
  <c r="AJ22" i="1" s="1"/>
  <c r="AI34" i="1"/>
  <c r="AJ34" i="1" s="1"/>
  <c r="AI26" i="1"/>
  <c r="AJ26" i="1" s="1"/>
  <c r="AI38" i="1"/>
  <c r="AJ38" i="1" s="1"/>
  <c r="AI33" i="1"/>
  <c r="AJ33" i="1" s="1"/>
  <c r="AI24" i="1"/>
  <c r="AJ24" i="1" s="1"/>
  <c r="AI29" i="1"/>
  <c r="AJ29" i="1" s="1"/>
  <c r="AI39" i="1"/>
  <c r="AJ39" i="1" s="1"/>
  <c r="AJ19" i="1"/>
  <c r="AI27" i="1"/>
  <c r="AJ27" i="1" s="1"/>
  <c r="AI35" i="1"/>
  <c r="AJ35" i="1" s="1"/>
  <c r="AJ21" i="1"/>
  <c r="AI20" i="1"/>
  <c r="AJ20" i="1" s="1"/>
  <c r="AI28" i="1"/>
  <c r="AJ28" i="1" s="1"/>
  <c r="AI36" i="1"/>
  <c r="AJ36" i="1" s="1"/>
  <c r="AI18" i="1"/>
  <c r="AJ18" i="1" s="1"/>
  <c r="M52" i="1" l="1"/>
  <c r="AK13" i="1"/>
  <c r="AK12" i="1"/>
  <c r="AJ43" i="1"/>
  <c r="AK9" i="1" s="1"/>
  <c r="AW9" i="1" l="1"/>
  <c r="M43" i="1"/>
  <c r="M44" i="1"/>
  <c r="AW8" i="1"/>
  <c r="M47" i="1" s="1"/>
  <c r="M53" i="1" l="1"/>
  <c r="M48" i="1"/>
  <c r="M49" i="1" s="1"/>
</calcChain>
</file>

<file path=xl/sharedStrings.xml><?xml version="1.0" encoding="utf-8"?>
<sst xmlns="http://schemas.openxmlformats.org/spreadsheetml/2006/main" count="98" uniqueCount="77">
  <si>
    <t>Viscosité</t>
  </si>
  <si>
    <t>cSt=cP/densité</t>
  </si>
  <si>
    <t>cP (mPa.s)</t>
  </si>
  <si>
    <t>Densité</t>
  </si>
  <si>
    <t>Masse volumique</t>
  </si>
  <si>
    <t>Débit</t>
  </si>
  <si>
    <t>mm</t>
  </si>
  <si>
    <t>m</t>
  </si>
  <si>
    <t>Hauteur géométrique</t>
  </si>
  <si>
    <t xml:space="preserve">ACCESSOIRES </t>
  </si>
  <si>
    <t>Angle 90° petit rayon à brides</t>
  </si>
  <si>
    <t>Angle 90° petit rayon taraudé</t>
  </si>
  <si>
    <t>Angle 90° gand rayon à brides</t>
  </si>
  <si>
    <t>Angle 90° grand rayon taraudé</t>
  </si>
  <si>
    <t>Angle 45° à brides</t>
  </si>
  <si>
    <t>Angle 45° taraudé</t>
  </si>
  <si>
    <t>Té passage direct à brides</t>
  </si>
  <si>
    <t>Té passage direct taraudé</t>
  </si>
  <si>
    <t>Té passage en angle taraudé</t>
  </si>
  <si>
    <t>Té passage en angle à brides</t>
  </si>
  <si>
    <t>Angle 180° taraudé</t>
  </si>
  <si>
    <t>Angle 180° à brides</t>
  </si>
  <si>
    <t>Robinet à soupape taraudé</t>
  </si>
  <si>
    <t>Robinet à soupape à brides</t>
  </si>
  <si>
    <t>Vanne passage direct taraudée</t>
  </si>
  <si>
    <t>Vanne passage direct à brides</t>
  </si>
  <si>
    <t>Robinet d'équerre taraudé</t>
  </si>
  <si>
    <t>Robinet d'équerre à brides</t>
  </si>
  <si>
    <t>Clapet de retenue taraudé</t>
  </si>
  <si>
    <t>Clapet de retenue à brides</t>
  </si>
  <si>
    <t>Manchon union taraudé</t>
  </si>
  <si>
    <t>Orifice en cloche</t>
  </si>
  <si>
    <t>Orifice à arrête vive</t>
  </si>
  <si>
    <t>Tuyau rentrant</t>
  </si>
  <si>
    <t>Nom</t>
  </si>
  <si>
    <t>Régime</t>
  </si>
  <si>
    <t>Estimation perte de charge</t>
  </si>
  <si>
    <t>Nombre</t>
  </si>
  <si>
    <r>
      <t>kg/m</t>
    </r>
    <r>
      <rPr>
        <vertAlign val="superscript"/>
        <sz val="11"/>
        <color theme="1"/>
        <rFont val="Arial"/>
        <family val="2"/>
      </rPr>
      <t>3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</si>
  <si>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</t>
    </r>
  </si>
  <si>
    <t>CARACTERISTIQUES DU PROCESS</t>
  </si>
  <si>
    <r>
      <t xml:space="preserve">Diamétre interne </t>
    </r>
    <r>
      <rPr>
        <sz val="11"/>
        <color theme="1"/>
        <rFont val="Arial Narrow"/>
        <family val="2"/>
      </rPr>
      <t>de la tuyauterie</t>
    </r>
  </si>
  <si>
    <t>Linéaire</t>
  </si>
  <si>
    <t>Linéaire + géométrique</t>
  </si>
  <si>
    <t>Total</t>
  </si>
  <si>
    <t>Nombre de Reynolds</t>
  </si>
  <si>
    <t>FLUIDE VEHICULE</t>
  </si>
  <si>
    <t>Informations techniques</t>
  </si>
  <si>
    <t>Vitesse dans les tuyauteries</t>
  </si>
  <si>
    <t>Taux de cisaillement</t>
  </si>
  <si>
    <r>
      <t>mm (</t>
    </r>
    <r>
      <rPr>
        <sz val="10"/>
        <color theme="1"/>
        <rFont val="Arial Narrow"/>
        <family val="2"/>
      </rPr>
      <t>pour un RA # 0,1 mm en acier galvanisé</t>
    </r>
    <r>
      <rPr>
        <sz val="11"/>
        <color theme="1"/>
        <rFont val="Arial Narrow"/>
        <family val="2"/>
      </rPr>
      <t>)</t>
    </r>
  </si>
  <si>
    <t>Laminaire</t>
  </si>
  <si>
    <t>mCl</t>
  </si>
  <si>
    <t>bar</t>
  </si>
  <si>
    <t>m/s</t>
  </si>
  <si>
    <t>kW</t>
  </si>
  <si>
    <r>
      <t>s</t>
    </r>
    <r>
      <rPr>
        <vertAlign val="superscript"/>
        <sz val="11"/>
        <color theme="1"/>
        <rFont val="Arial"/>
        <family val="2"/>
      </rPr>
      <t>-1</t>
    </r>
  </si>
  <si>
    <t>RESULTATS</t>
  </si>
  <si>
    <t>Estimation de la perte de charge théorique</t>
  </si>
  <si>
    <t>Calcul théorique de la perte de charge de votre installation</t>
  </si>
  <si>
    <t>Puissance absorbé (ɳ=1)</t>
  </si>
  <si>
    <t>Diamétre de la tuyauterie</t>
  </si>
  <si>
    <t>cm3/s</t>
  </si>
  <si>
    <t>Stokes</t>
  </si>
  <si>
    <t>cm</t>
  </si>
  <si>
    <t>Coeff. de frottement</t>
  </si>
  <si>
    <t>Vitesse</t>
  </si>
  <si>
    <t>cm/s</t>
  </si>
  <si>
    <t>Nb de Raynolds</t>
  </si>
  <si>
    <t>Turbulent</t>
  </si>
  <si>
    <t>Longueur calculs</t>
  </si>
  <si>
    <t>Pression géométrique</t>
  </si>
  <si>
    <t>Références pompe</t>
  </si>
  <si>
    <t>Longueur linéaire totale</t>
  </si>
  <si>
    <t>Viscosité cinématique</t>
  </si>
  <si>
    <r>
      <t>cSt (</t>
    </r>
    <r>
      <rPr>
        <sz val="11"/>
        <color theme="1"/>
        <rFont val="Arial Narrow"/>
        <family val="2"/>
      </rPr>
      <t>10</t>
    </r>
    <r>
      <rPr>
        <vertAlign val="superscript"/>
        <sz val="11"/>
        <color theme="1"/>
        <rFont val="Arial Narrow"/>
        <family val="2"/>
      </rPr>
      <t xml:space="preserve">-2 </t>
    </r>
    <r>
      <rPr>
        <sz val="11"/>
        <color theme="1"/>
        <rFont val="Arial Narrow"/>
        <family val="2"/>
      </rPr>
      <t>m²/s)</t>
    </r>
  </si>
  <si>
    <r>
      <t xml:space="preserve">Viscosité dynamique
</t>
    </r>
    <r>
      <rPr>
        <sz val="8"/>
        <color theme="1"/>
        <rFont val="Arial Narrow"/>
        <family val="2"/>
      </rPr>
      <t>(Visco. Cinématique x Densité)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</si>
</sst>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1"/>
      <color rgb="FFFF0000"/>
      <name val="Arial Narrow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i/>
      <sz val="9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3" fillId="0" borderId="0" xfId="0" applyFont="1" applyProtection="1"/>
    <xf numFmtId="0" fontId="10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2" fontId="10" fillId="0" borderId="0" xfId="3" applyNumberFormat="1" applyFont="1" applyProtection="1"/>
    <xf numFmtId="2" fontId="10" fillId="0" borderId="0" xfId="0" applyNumberFormat="1" applyFont="1" applyProtection="1"/>
    <xf numFmtId="1" fontId="9" fillId="0" borderId="0" xfId="0" applyNumberFormat="1" applyFont="1" applyProtection="1"/>
    <xf numFmtId="1" fontId="9" fillId="0" borderId="0" xfId="0" applyNumberFormat="1" applyFont="1" applyAlignment="1" applyProtection="1"/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3" fillId="0" borderId="0" xfId="0" applyFont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Alignme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49" fontId="6" fillId="2" borderId="7" xfId="1" applyNumberFormat="1" applyFont="1" applyBorder="1" applyAlignment="1" applyProtection="1">
      <alignment horizontal="center" vertical="center"/>
      <protection locked="0"/>
    </xf>
    <xf numFmtId="49" fontId="6" fillId="2" borderId="11" xfId="1" applyNumberFormat="1" applyFont="1" applyBorder="1" applyAlignment="1" applyProtection="1">
      <alignment horizontal="center" vertical="center"/>
      <protection locked="0"/>
    </xf>
    <xf numFmtId="49" fontId="6" fillId="2" borderId="2" xfId="1" applyNumberFormat="1" applyFont="1" applyBorder="1" applyAlignment="1" applyProtection="1">
      <alignment horizontal="center" vertical="center"/>
      <protection locked="0"/>
    </xf>
    <xf numFmtId="49" fontId="6" fillId="2" borderId="8" xfId="1" applyNumberFormat="1" applyFont="1" applyBorder="1" applyAlignment="1" applyProtection="1">
      <alignment horizontal="center" vertical="center"/>
      <protection locked="0"/>
    </xf>
    <xf numFmtId="49" fontId="6" fillId="2" borderId="5" xfId="1" applyNumberFormat="1" applyFont="1" applyBorder="1" applyAlignment="1" applyProtection="1">
      <alignment horizontal="center" vertical="center"/>
      <protection locked="0"/>
    </xf>
    <xf numFmtId="49" fontId="6" fillId="2" borderId="9" xfId="1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/>
    <xf numFmtId="0" fontId="3" fillId="2" borderId="7" xfId="1" applyFont="1" applyBorder="1" applyAlignment="1" applyProtection="1">
      <alignment horizontal="left" vertical="center" wrapText="1"/>
    </xf>
    <xf numFmtId="0" fontId="3" fillId="2" borderId="11" xfId="1" applyFont="1" applyBorder="1" applyAlignment="1" applyProtection="1">
      <alignment horizontal="left" vertical="center" wrapText="1"/>
    </xf>
    <xf numFmtId="0" fontId="3" fillId="2" borderId="2" xfId="1" applyFont="1" applyBorder="1" applyAlignment="1" applyProtection="1">
      <alignment horizontal="left" vertical="center" wrapText="1"/>
    </xf>
    <xf numFmtId="0" fontId="3" fillId="2" borderId="8" xfId="1" applyFont="1" applyBorder="1" applyAlignment="1" applyProtection="1">
      <alignment horizontal="left" vertical="center" wrapText="1"/>
    </xf>
    <xf numFmtId="0" fontId="3" fillId="2" borderId="5" xfId="1" applyFont="1" applyBorder="1" applyAlignment="1" applyProtection="1">
      <alignment horizontal="left" vertical="center" wrapText="1"/>
    </xf>
    <xf numFmtId="0" fontId="3" fillId="2" borderId="9" xfId="1" applyFont="1" applyBorder="1" applyAlignment="1" applyProtection="1">
      <alignment horizontal="left" vertical="center" wrapText="1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49" fontId="6" fillId="2" borderId="6" xfId="1" applyNumberFormat="1" applyFont="1" applyBorder="1" applyAlignment="1" applyProtection="1">
      <alignment horizontal="center" vertical="center"/>
      <protection locked="0"/>
    </xf>
    <xf numFmtId="49" fontId="6" fillId="2" borderId="0" xfId="1" applyNumberFormat="1" applyFont="1" applyBorder="1" applyAlignment="1" applyProtection="1">
      <alignment horizontal="center" vertical="center"/>
      <protection locked="0"/>
    </xf>
    <xf numFmtId="49" fontId="6" fillId="2" borderId="12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2" fontId="6" fillId="2" borderId="1" xfId="1" applyNumberFormat="1" applyFont="1" applyBorder="1" applyAlignment="1" applyProtection="1">
      <alignment horizontal="center"/>
    </xf>
    <xf numFmtId="0" fontId="6" fillId="2" borderId="1" xfId="1" applyFont="1" applyBorder="1" applyAlignment="1" applyProtection="1">
      <alignment horizontal="center"/>
    </xf>
    <xf numFmtId="1" fontId="6" fillId="2" borderId="1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2" borderId="1" xfId="1" applyFont="1" applyBorder="1" applyAlignment="1" applyProtection="1">
      <alignment horizontal="left"/>
    </xf>
    <xf numFmtId="0" fontId="3" fillId="2" borderId="3" xfId="1" applyFont="1" applyBorder="1" applyAlignment="1" applyProtection="1">
      <alignment horizontal="left"/>
    </xf>
    <xf numFmtId="0" fontId="3" fillId="2" borderId="10" xfId="1" applyFont="1" applyBorder="1" applyAlignment="1" applyProtection="1">
      <alignment horizontal="left"/>
    </xf>
    <xf numFmtId="0" fontId="3" fillId="2" borderId="4" xfId="1" applyFont="1" applyBorder="1" applyAlignment="1" applyProtection="1">
      <alignment horizontal="left"/>
    </xf>
    <xf numFmtId="164" fontId="6" fillId="2" borderId="7" xfId="1" applyNumberFormat="1" applyFont="1" applyBorder="1" applyAlignment="1" applyProtection="1">
      <alignment horizontal="center" vertical="center"/>
      <protection locked="0"/>
    </xf>
    <xf numFmtId="164" fontId="6" fillId="2" borderId="11" xfId="1" applyNumberFormat="1" applyFont="1" applyBorder="1" applyAlignment="1" applyProtection="1">
      <alignment horizontal="center" vertical="center"/>
      <protection locked="0"/>
    </xf>
    <xf numFmtId="164" fontId="6" fillId="2" borderId="2" xfId="1" applyNumberFormat="1" applyFont="1" applyBorder="1" applyAlignment="1" applyProtection="1">
      <alignment horizontal="center" vertical="center"/>
      <protection locked="0"/>
    </xf>
    <xf numFmtId="164" fontId="6" fillId="2" borderId="8" xfId="1" applyNumberFormat="1" applyFont="1" applyBorder="1" applyAlignment="1" applyProtection="1">
      <alignment horizontal="center" vertical="center"/>
      <protection locked="0"/>
    </xf>
    <xf numFmtId="164" fontId="6" fillId="2" borderId="5" xfId="1" applyNumberFormat="1" applyFont="1" applyBorder="1" applyAlignment="1" applyProtection="1">
      <alignment horizontal="center" vertical="center"/>
      <protection locked="0"/>
    </xf>
    <xf numFmtId="164" fontId="6" fillId="2" borderId="9" xfId="1" applyNumberFormat="1" applyFont="1" applyBorder="1" applyAlignment="1" applyProtection="1">
      <alignment horizontal="center" vertical="center"/>
      <protection locked="0"/>
    </xf>
    <xf numFmtId="165" fontId="6" fillId="2" borderId="1" xfId="1" applyNumberFormat="1" applyFont="1" applyBorder="1" applyAlignment="1" applyProtection="1">
      <alignment horizontal="center" vertical="center"/>
      <protection locked="0"/>
    </xf>
    <xf numFmtId="165" fontId="6" fillId="2" borderId="13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1" fontId="6" fillId="2" borderId="1" xfId="1" applyNumberFormat="1" applyFont="1" applyBorder="1" applyAlignment="1" applyProtection="1">
      <alignment horizontal="center" vertical="center"/>
      <protection locked="0"/>
    </xf>
    <xf numFmtId="164" fontId="6" fillId="2" borderId="1" xfId="1" applyNumberFormat="1" applyFont="1" applyBorder="1" applyAlignment="1" applyProtection="1">
      <alignment horizontal="center" vertical="center"/>
      <protection locked="0"/>
    </xf>
    <xf numFmtId="1" fontId="6" fillId="2" borderId="1" xfId="1" applyNumberFormat="1" applyFont="1" applyBorder="1" applyAlignment="1" applyProtection="1">
      <alignment horizontal="center"/>
      <protection locked="0"/>
    </xf>
    <xf numFmtId="0" fontId="5" fillId="2" borderId="1" xfId="1" applyFont="1" applyBorder="1" applyAlignment="1" applyProtection="1">
      <alignment horizontal="center"/>
    </xf>
    <xf numFmtId="0" fontId="5" fillId="2" borderId="1" xfId="1" applyFont="1" applyBorder="1" applyAlignment="1" applyProtection="1">
      <alignment horizontal="left"/>
      <protection locked="0"/>
    </xf>
    <xf numFmtId="0" fontId="5" fillId="2" borderId="3" xfId="1" applyFont="1" applyBorder="1" applyAlignment="1" applyProtection="1">
      <alignment horizontal="left"/>
      <protection locked="0"/>
    </xf>
    <xf numFmtId="0" fontId="5" fillId="2" borderId="10" xfId="1" applyFont="1" applyBorder="1" applyAlignment="1" applyProtection="1">
      <alignment horizontal="left"/>
      <protection locked="0"/>
    </xf>
    <xf numFmtId="0" fontId="5" fillId="2" borderId="4" xfId="1" applyFont="1" applyBorder="1" applyAlignment="1" applyProtection="1">
      <alignment horizontal="left"/>
      <protection locked="0"/>
    </xf>
  </cellXfs>
  <cellStyles count="4">
    <cellStyle name="40 % - Accent1" xfId="1" builtinId="3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20</xdr:row>
      <xdr:rowOff>28575</xdr:rowOff>
    </xdr:from>
    <xdr:to>
      <xdr:col>21</xdr:col>
      <xdr:colOff>219075</xdr:colOff>
      <xdr:row>27</xdr:row>
      <xdr:rowOff>179128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1" y="3162300"/>
          <a:ext cx="2200274" cy="1455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4"/>
  <sheetViews>
    <sheetView showGridLines="0" tabSelected="1" workbookViewId="0">
      <selection activeCell="H6" sqref="H6:N7"/>
    </sheetView>
  </sheetViews>
  <sheetFormatPr baseColWidth="10" defaultColWidth="3.7109375" defaultRowHeight="14.25" x14ac:dyDescent="0.2"/>
  <cols>
    <col min="1" max="29" width="3.7109375" style="1"/>
    <col min="30" max="33" width="3.7109375" style="2"/>
    <col min="34" max="37" width="6.7109375" style="2" customWidth="1"/>
    <col min="38" max="63" width="3.7109375" style="2"/>
    <col min="64" max="16384" width="3.7109375" style="1"/>
  </cols>
  <sheetData>
    <row r="1" spans="1:51" x14ac:dyDescent="0.2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5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AH2" s="2" t="s">
        <v>1</v>
      </c>
    </row>
    <row r="3" spans="1:5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51" ht="15" x14ac:dyDescent="0.25">
      <c r="A4" s="3" t="s">
        <v>46</v>
      </c>
      <c r="O4" s="39" t="s">
        <v>72</v>
      </c>
      <c r="P4" s="39"/>
      <c r="Q4" s="39"/>
      <c r="R4" s="39"/>
      <c r="S4" s="39"/>
      <c r="T4" s="39"/>
      <c r="U4" s="39"/>
      <c r="V4" s="39"/>
    </row>
    <row r="5" spans="1:51" ht="5.0999999999999996" customHeight="1" x14ac:dyDescent="0.25">
      <c r="A5" s="3"/>
      <c r="O5" s="40"/>
      <c r="P5" s="40"/>
      <c r="Q5" s="40"/>
      <c r="R5" s="40"/>
      <c r="S5" s="40"/>
      <c r="T5" s="40"/>
      <c r="U5" s="40"/>
      <c r="V5" s="40"/>
    </row>
    <row r="6" spans="1:51" ht="16.5" x14ac:dyDescent="0.3">
      <c r="B6" s="44" t="s">
        <v>34</v>
      </c>
      <c r="C6" s="44"/>
      <c r="D6" s="44"/>
      <c r="E6" s="44"/>
      <c r="F6" s="44"/>
      <c r="G6" s="44"/>
      <c r="H6" s="17"/>
      <c r="I6" s="18"/>
      <c r="J6" s="18"/>
      <c r="K6" s="18"/>
      <c r="L6" s="18"/>
      <c r="M6" s="18"/>
      <c r="N6" s="19"/>
      <c r="O6" s="17"/>
      <c r="P6" s="18"/>
      <c r="Q6" s="18"/>
      <c r="R6" s="18"/>
      <c r="S6" s="18"/>
      <c r="T6" s="18"/>
      <c r="U6" s="18"/>
      <c r="V6" s="19"/>
      <c r="AH6" s="4" t="s">
        <v>61</v>
      </c>
      <c r="AK6" s="23">
        <f>+AO19/10</f>
        <v>0.1</v>
      </c>
      <c r="AL6" s="23"/>
      <c r="AM6" s="2" t="s">
        <v>64</v>
      </c>
    </row>
    <row r="7" spans="1:51" ht="15" customHeight="1" x14ac:dyDescent="0.3">
      <c r="B7" s="44"/>
      <c r="C7" s="44"/>
      <c r="D7" s="44"/>
      <c r="E7" s="44"/>
      <c r="F7" s="44"/>
      <c r="G7" s="44"/>
      <c r="H7" s="41"/>
      <c r="I7" s="42"/>
      <c r="J7" s="42"/>
      <c r="K7" s="42"/>
      <c r="L7" s="42"/>
      <c r="M7" s="42"/>
      <c r="N7" s="43"/>
      <c r="O7" s="20"/>
      <c r="P7" s="21"/>
      <c r="Q7" s="21"/>
      <c r="R7" s="21"/>
      <c r="S7" s="21"/>
      <c r="T7" s="21"/>
      <c r="U7" s="21"/>
      <c r="V7" s="22"/>
      <c r="AH7" s="4" t="s">
        <v>5</v>
      </c>
      <c r="AK7" s="23">
        <f>+J17*277.78</f>
        <v>0</v>
      </c>
      <c r="AL7" s="23"/>
      <c r="AM7" s="2" t="s">
        <v>62</v>
      </c>
      <c r="AS7" s="2" t="s">
        <v>36</v>
      </c>
    </row>
    <row r="8" spans="1:51" ht="14.25" customHeight="1" x14ac:dyDescent="0.2">
      <c r="B8" s="44" t="s">
        <v>74</v>
      </c>
      <c r="C8" s="44"/>
      <c r="D8" s="44"/>
      <c r="E8" s="44"/>
      <c r="F8" s="44"/>
      <c r="G8" s="44"/>
      <c r="H8" s="56">
        <v>1</v>
      </c>
      <c r="I8" s="57"/>
      <c r="J8" s="57"/>
      <c r="K8" s="57"/>
      <c r="L8" s="57"/>
      <c r="M8" s="57"/>
      <c r="N8" s="58"/>
      <c r="O8" s="45" t="s">
        <v>75</v>
      </c>
      <c r="P8" s="46"/>
      <c r="Q8" s="46"/>
      <c r="R8" s="46"/>
      <c r="AH8" s="2" t="s">
        <v>0</v>
      </c>
      <c r="AK8" s="23">
        <f>+H10/H12/100*1000</f>
        <v>0.01</v>
      </c>
      <c r="AL8" s="23"/>
      <c r="AM8" s="2" t="s">
        <v>63</v>
      </c>
      <c r="AT8" s="2" t="s">
        <v>51</v>
      </c>
      <c r="AW8" s="16">
        <f>((((32*AK8)*AK14)/(981*(AK6*AK6)))*AK9/1000)*AK15</f>
        <v>0</v>
      </c>
      <c r="AX8" s="16"/>
      <c r="AY8" s="2" t="s">
        <v>53</v>
      </c>
    </row>
    <row r="9" spans="1:51" ht="14.25" customHeight="1" x14ac:dyDescent="0.2">
      <c r="B9" s="44"/>
      <c r="C9" s="44"/>
      <c r="D9" s="44"/>
      <c r="E9" s="44"/>
      <c r="F9" s="44"/>
      <c r="G9" s="44"/>
      <c r="H9" s="59"/>
      <c r="I9" s="60"/>
      <c r="J9" s="60"/>
      <c r="K9" s="60"/>
      <c r="L9" s="60"/>
      <c r="M9" s="60"/>
      <c r="N9" s="61"/>
      <c r="O9" s="45"/>
      <c r="P9" s="46"/>
      <c r="Q9" s="46"/>
      <c r="R9" s="46"/>
      <c r="AH9" s="2" t="s">
        <v>70</v>
      </c>
      <c r="AK9" s="23">
        <f>+(J21+AJ43)*100</f>
        <v>0</v>
      </c>
      <c r="AL9" s="23"/>
      <c r="AM9" s="2" t="s">
        <v>64</v>
      </c>
      <c r="AT9" s="2" t="s">
        <v>69</v>
      </c>
      <c r="AW9" s="16" t="e">
        <f>(((AK9/AK6)*((AK14*AK14)/(2*981)))*AK12/1000)*AK15</f>
        <v>#DIV/0!</v>
      </c>
      <c r="AX9" s="16"/>
      <c r="AY9" s="2" t="s">
        <v>53</v>
      </c>
    </row>
    <row r="10" spans="1:51" ht="14.25" customHeight="1" x14ac:dyDescent="0.2">
      <c r="B10" s="24" t="s">
        <v>76</v>
      </c>
      <c r="C10" s="25"/>
      <c r="D10" s="25"/>
      <c r="E10" s="25"/>
      <c r="F10" s="25"/>
      <c r="G10" s="26"/>
      <c r="H10" s="30">
        <f>+H8*H12/1000</f>
        <v>1</v>
      </c>
      <c r="I10" s="31"/>
      <c r="J10" s="31"/>
      <c r="K10" s="31"/>
      <c r="L10" s="31"/>
      <c r="M10" s="31"/>
      <c r="N10" s="32"/>
      <c r="O10" s="47" t="s">
        <v>2</v>
      </c>
      <c r="P10" s="47"/>
      <c r="Q10" s="47"/>
      <c r="R10" s="47"/>
      <c r="S10" s="13"/>
      <c r="T10" s="12"/>
      <c r="U10" s="12"/>
      <c r="V10" s="12"/>
      <c r="AK10" s="14"/>
      <c r="AL10" s="14"/>
      <c r="AW10" s="15"/>
      <c r="AX10" s="15"/>
    </row>
    <row r="11" spans="1:51" ht="14.25" customHeight="1" x14ac:dyDescent="0.2">
      <c r="B11" s="27"/>
      <c r="C11" s="28"/>
      <c r="D11" s="28"/>
      <c r="E11" s="28"/>
      <c r="F11" s="28"/>
      <c r="G11" s="29"/>
      <c r="H11" s="33"/>
      <c r="I11" s="34"/>
      <c r="J11" s="34"/>
      <c r="K11" s="34"/>
      <c r="L11" s="34"/>
      <c r="M11" s="34"/>
      <c r="N11" s="35"/>
      <c r="O11" s="47"/>
      <c r="P11" s="47"/>
      <c r="Q11" s="47"/>
      <c r="R11" s="47"/>
      <c r="S11" s="13"/>
      <c r="T11" s="12"/>
      <c r="U11" s="12"/>
      <c r="V11" s="12"/>
      <c r="AK11" s="14"/>
      <c r="AL11" s="14"/>
      <c r="AW11" s="15"/>
      <c r="AX11" s="15"/>
    </row>
    <row r="12" spans="1:51" ht="14.25" customHeight="1" x14ac:dyDescent="0.2">
      <c r="B12" s="44" t="s">
        <v>4</v>
      </c>
      <c r="C12" s="44"/>
      <c r="D12" s="44"/>
      <c r="E12" s="44"/>
      <c r="F12" s="44"/>
      <c r="G12" s="44"/>
      <c r="H12" s="62">
        <v>1000</v>
      </c>
      <c r="I12" s="62"/>
      <c r="J12" s="62"/>
      <c r="K12" s="63"/>
      <c r="L12" s="63"/>
      <c r="M12" s="63"/>
      <c r="N12" s="63"/>
      <c r="O12" s="51" t="s">
        <v>38</v>
      </c>
      <c r="P12" s="51"/>
      <c r="Q12" s="51"/>
      <c r="R12" s="51"/>
      <c r="AH12" s="2" t="s">
        <v>65</v>
      </c>
      <c r="AK12" s="23" t="e">
        <f>0.3164*(AK8/(AK14*AK6))^0.25</f>
        <v>#DIV/0!</v>
      </c>
      <c r="AL12" s="23"/>
    </row>
    <row r="13" spans="1:51" x14ac:dyDescent="0.2">
      <c r="B13" s="44"/>
      <c r="C13" s="44"/>
      <c r="D13" s="44"/>
      <c r="E13" s="44"/>
      <c r="F13" s="44"/>
      <c r="G13" s="44"/>
      <c r="H13" s="62"/>
      <c r="I13" s="62"/>
      <c r="J13" s="62"/>
      <c r="K13" s="62"/>
      <c r="L13" s="62"/>
      <c r="M13" s="62"/>
      <c r="N13" s="62"/>
      <c r="O13" s="51"/>
      <c r="P13" s="51"/>
      <c r="Q13" s="51"/>
      <c r="R13" s="51"/>
      <c r="AH13" s="2" t="s">
        <v>68</v>
      </c>
      <c r="AK13" s="23">
        <f>AK14*AK6/AK8</f>
        <v>0</v>
      </c>
      <c r="AL13" s="23"/>
      <c r="AS13" s="2" t="s">
        <v>71</v>
      </c>
    </row>
    <row r="14" spans="1:51" x14ac:dyDescent="0.2">
      <c r="AH14" s="2" t="s">
        <v>66</v>
      </c>
      <c r="AK14" s="23">
        <f>(AK7*4)/((1*AK6)*(3.14*AK6))</f>
        <v>0</v>
      </c>
      <c r="AL14" s="23"/>
      <c r="AM14" s="2" t="s">
        <v>67</v>
      </c>
      <c r="AT14" s="16">
        <f>(H12*9.81*J23)/100000</f>
        <v>0</v>
      </c>
      <c r="AU14" s="16"/>
      <c r="AV14" s="2" t="s">
        <v>53</v>
      </c>
    </row>
    <row r="15" spans="1:51" ht="15" x14ac:dyDescent="0.25">
      <c r="A15" s="3" t="s">
        <v>40</v>
      </c>
      <c r="AH15" s="2" t="s">
        <v>3</v>
      </c>
      <c r="AK15" s="38">
        <f>+H12/1000</f>
        <v>1</v>
      </c>
      <c r="AL15" s="38"/>
    </row>
    <row r="16" spans="1:51" ht="5.0999999999999996" customHeight="1" x14ac:dyDescent="0.25">
      <c r="A16" s="3"/>
    </row>
    <row r="17" spans="1:43" ht="17.25" customHeight="1" x14ac:dyDescent="0.2">
      <c r="B17" s="44" t="s">
        <v>5</v>
      </c>
      <c r="C17" s="44"/>
      <c r="D17" s="44"/>
      <c r="E17" s="44"/>
      <c r="F17" s="44"/>
      <c r="G17" s="44"/>
      <c r="H17" s="44"/>
      <c r="I17" s="44"/>
      <c r="J17" s="56"/>
      <c r="K17" s="58"/>
      <c r="L17" s="64" t="s">
        <v>39</v>
      </c>
      <c r="M17" s="64"/>
    </row>
    <row r="18" spans="1:43" x14ac:dyDescent="0.2">
      <c r="B18" s="44"/>
      <c r="C18" s="44"/>
      <c r="D18" s="44"/>
      <c r="E18" s="44"/>
      <c r="F18" s="44"/>
      <c r="G18" s="44"/>
      <c r="H18" s="44"/>
      <c r="I18" s="44"/>
      <c r="J18" s="59"/>
      <c r="K18" s="61"/>
      <c r="L18" s="64"/>
      <c r="M18" s="64"/>
      <c r="AG18" s="2" t="s">
        <v>10</v>
      </c>
      <c r="AH18" s="2">
        <f>IF($B$28=AG18,$J$28,0)</f>
        <v>0</v>
      </c>
      <c r="AI18" s="5">
        <f>0.0295164*AO19^0.9217588</f>
        <v>2.9516400000000002E-2</v>
      </c>
      <c r="AJ18" s="2">
        <f>+AH18*AI18</f>
        <v>0</v>
      </c>
    </row>
    <row r="19" spans="1:43" ht="16.5" customHeight="1" x14ac:dyDescent="0.3">
      <c r="B19" s="44" t="s">
        <v>41</v>
      </c>
      <c r="C19" s="44"/>
      <c r="D19" s="44"/>
      <c r="E19" s="44"/>
      <c r="F19" s="44"/>
      <c r="G19" s="44"/>
      <c r="H19" s="44"/>
      <c r="I19" s="44"/>
      <c r="J19" s="65">
        <v>1</v>
      </c>
      <c r="K19" s="65"/>
      <c r="L19" s="45" t="s">
        <v>50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AG19" s="2" t="s">
        <v>11</v>
      </c>
      <c r="AH19" s="2">
        <f t="shared" ref="AH19:AH21" si="0">IF($B$28=AG19,$J$28,0)</f>
        <v>0</v>
      </c>
      <c r="AI19" s="6">
        <f>0.2368434*AO19^0.6474718</f>
        <v>0.23684340000000001</v>
      </c>
      <c r="AJ19" s="2">
        <f t="shared" ref="AJ19:AJ41" si="1">+AH19*AI19</f>
        <v>0</v>
      </c>
      <c r="AL19" s="4" t="s">
        <v>61</v>
      </c>
      <c r="AO19" s="37">
        <f>+J19</f>
        <v>1</v>
      </c>
      <c r="AP19" s="37"/>
      <c r="AQ19" s="2" t="s">
        <v>6</v>
      </c>
    </row>
    <row r="20" spans="1:43" x14ac:dyDescent="0.2">
      <c r="B20" s="44"/>
      <c r="C20" s="44"/>
      <c r="D20" s="44"/>
      <c r="E20" s="44"/>
      <c r="F20" s="44"/>
      <c r="G20" s="44"/>
      <c r="H20" s="44"/>
      <c r="I20" s="44"/>
      <c r="J20" s="65"/>
      <c r="K20" s="6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AG20" s="2" t="s">
        <v>12</v>
      </c>
      <c r="AH20" s="2">
        <f t="shared" si="0"/>
        <v>0</v>
      </c>
      <c r="AI20" s="6">
        <f>0.0652079*AO19^0.6797184</f>
        <v>6.5207899999999999E-2</v>
      </c>
      <c r="AJ20" s="2">
        <f t="shared" si="1"/>
        <v>0</v>
      </c>
    </row>
    <row r="21" spans="1:43" x14ac:dyDescent="0.2">
      <c r="B21" s="44" t="s">
        <v>73</v>
      </c>
      <c r="C21" s="44"/>
      <c r="D21" s="44"/>
      <c r="E21" s="44"/>
      <c r="F21" s="44"/>
      <c r="G21" s="44"/>
      <c r="H21" s="44"/>
      <c r="I21" s="44"/>
      <c r="J21" s="66"/>
      <c r="K21" s="66"/>
      <c r="L21" s="64" t="s">
        <v>7</v>
      </c>
      <c r="M21" s="64"/>
      <c r="AG21" s="2" t="s">
        <v>13</v>
      </c>
      <c r="AH21" s="2">
        <f t="shared" si="0"/>
        <v>0</v>
      </c>
      <c r="AI21" s="6">
        <f>0.3206578*AO19^0.3503</f>
        <v>0.32065779999999999</v>
      </c>
      <c r="AJ21" s="2">
        <f t="shared" si="1"/>
        <v>0</v>
      </c>
    </row>
    <row r="22" spans="1:43" x14ac:dyDescent="0.2">
      <c r="B22" s="44"/>
      <c r="C22" s="44"/>
      <c r="D22" s="44"/>
      <c r="E22" s="44"/>
      <c r="F22" s="44"/>
      <c r="G22" s="44"/>
      <c r="H22" s="44"/>
      <c r="I22" s="44"/>
      <c r="J22" s="66"/>
      <c r="K22" s="66"/>
      <c r="L22" s="64"/>
      <c r="M22" s="64"/>
      <c r="AG22" s="2" t="s">
        <v>14</v>
      </c>
      <c r="AH22" s="2">
        <f>IF($B$29=AG22,$J$29,0)</f>
        <v>0</v>
      </c>
      <c r="AI22" s="6">
        <f>0.010602*AO19^1.030338</f>
        <v>1.0602E-2</v>
      </c>
      <c r="AJ22" s="2">
        <f t="shared" si="1"/>
        <v>0</v>
      </c>
    </row>
    <row r="23" spans="1:43" x14ac:dyDescent="0.2">
      <c r="B23" s="44" t="s">
        <v>8</v>
      </c>
      <c r="C23" s="44"/>
      <c r="D23" s="44"/>
      <c r="E23" s="44"/>
      <c r="F23" s="44"/>
      <c r="G23" s="44"/>
      <c r="H23" s="44"/>
      <c r="I23" s="44"/>
      <c r="J23" s="66"/>
      <c r="K23" s="66"/>
      <c r="L23" s="64" t="s">
        <v>7</v>
      </c>
      <c r="M23" s="64"/>
      <c r="AG23" s="2" t="s">
        <v>15</v>
      </c>
      <c r="AH23" s="2">
        <f t="shared" ref="AH23" si="2">IF($B$29=AG23,$J$29,0)</f>
        <v>0</v>
      </c>
      <c r="AI23" s="6">
        <f>0.0213004*AO19^0.9662076</f>
        <v>2.1300400000000001E-2</v>
      </c>
      <c r="AJ23" s="2">
        <f t="shared" si="1"/>
        <v>0</v>
      </c>
    </row>
    <row r="24" spans="1:43" x14ac:dyDescent="0.2">
      <c r="B24" s="44"/>
      <c r="C24" s="44"/>
      <c r="D24" s="44"/>
      <c r="E24" s="44"/>
      <c r="F24" s="44"/>
      <c r="G24" s="44"/>
      <c r="H24" s="44"/>
      <c r="I24" s="44"/>
      <c r="J24" s="66"/>
      <c r="K24" s="66"/>
      <c r="L24" s="64"/>
      <c r="M24" s="64"/>
      <c r="AG24" s="2" t="s">
        <v>16</v>
      </c>
      <c r="AH24" s="2">
        <f>IF($B$30=AG24,$J$30,0)</f>
        <v>0</v>
      </c>
      <c r="AI24" s="6">
        <f>0.0384101*AO19^0.7050166</f>
        <v>3.8410100000000003E-2</v>
      </c>
      <c r="AJ24" s="2">
        <f t="shared" si="1"/>
        <v>0</v>
      </c>
    </row>
    <row r="25" spans="1:43" x14ac:dyDescent="0.2">
      <c r="AG25" s="2" t="s">
        <v>17</v>
      </c>
      <c r="AH25" s="2">
        <f t="shared" ref="AH25:AH27" si="3">IF($B$30=AG25,$J$30,0)</f>
        <v>0</v>
      </c>
      <c r="AI25" s="6">
        <f>0.0262144*AO19^1.1801974</f>
        <v>2.6214399999999999E-2</v>
      </c>
      <c r="AJ25" s="2">
        <f t="shared" si="1"/>
        <v>0</v>
      </c>
    </row>
    <row r="26" spans="1:43" ht="15" x14ac:dyDescent="0.25">
      <c r="A26" s="3" t="s">
        <v>9</v>
      </c>
      <c r="AG26" s="2" t="s">
        <v>18</v>
      </c>
      <c r="AH26" s="2">
        <f t="shared" si="3"/>
        <v>0</v>
      </c>
      <c r="AI26" s="6">
        <f>0.1831697*AO19^0.8021184</f>
        <v>0.18316969999999999</v>
      </c>
      <c r="AJ26" s="2">
        <f t="shared" si="1"/>
        <v>0</v>
      </c>
    </row>
    <row r="27" spans="1:43" ht="16.5" x14ac:dyDescent="0.3">
      <c r="J27" s="68" t="s">
        <v>37</v>
      </c>
      <c r="K27" s="68"/>
      <c r="AG27" s="2" t="s">
        <v>19</v>
      </c>
      <c r="AH27" s="2">
        <f t="shared" si="3"/>
        <v>0</v>
      </c>
      <c r="AI27" s="6">
        <f>0.066986*AO19^0.8999234</f>
        <v>6.6986000000000004E-2</v>
      </c>
      <c r="AJ27" s="2">
        <f t="shared" si="1"/>
        <v>0</v>
      </c>
    </row>
    <row r="28" spans="1:43" ht="16.5" x14ac:dyDescent="0.3">
      <c r="B28" s="69" t="s">
        <v>11</v>
      </c>
      <c r="C28" s="69"/>
      <c r="D28" s="69"/>
      <c r="E28" s="69"/>
      <c r="F28" s="69"/>
      <c r="G28" s="69"/>
      <c r="H28" s="69"/>
      <c r="I28" s="70"/>
      <c r="J28" s="67"/>
      <c r="K28" s="67"/>
      <c r="M28" s="7" t="str">
        <f>IFERROR(IF(J28=ROUNDDOWN(J28,0),"","Attention if faut saisir un nombre entier"), "attention if faut saisir un nombre entier")</f>
        <v/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AG28" s="2" t="s">
        <v>20</v>
      </c>
      <c r="AH28" s="2">
        <f>IF($B$31=AG28,$J$31,0)</f>
        <v>0</v>
      </c>
      <c r="AI28" s="6">
        <f>0.2109026*AO19^0.6790935</f>
        <v>0.2109026</v>
      </c>
      <c r="AJ28" s="2">
        <f t="shared" si="1"/>
        <v>0</v>
      </c>
    </row>
    <row r="29" spans="1:43" ht="16.5" x14ac:dyDescent="0.3">
      <c r="B29" s="69" t="s">
        <v>15</v>
      </c>
      <c r="C29" s="69"/>
      <c r="D29" s="69"/>
      <c r="E29" s="69"/>
      <c r="F29" s="69"/>
      <c r="G29" s="69"/>
      <c r="H29" s="69"/>
      <c r="I29" s="70"/>
      <c r="J29" s="67"/>
      <c r="K29" s="67"/>
      <c r="M29" s="7" t="str">
        <f t="shared" ref="M29:M38" si="4">IFERROR(IF(J29=ROUNDDOWN(J29,0),"","Attention if faut saisir un nombre entier"), "attention if faut saisir un nombre entier")</f>
        <v/>
      </c>
      <c r="AG29" s="2" t="s">
        <v>21</v>
      </c>
      <c r="AH29" s="2">
        <f>IF($B$31=AG29,$J$31,0)</f>
        <v>0</v>
      </c>
      <c r="AI29" s="6">
        <f>0.0295164*AO19^0.9217588</f>
        <v>2.9516400000000002E-2</v>
      </c>
      <c r="AJ29" s="2">
        <f t="shared" si="1"/>
        <v>0</v>
      </c>
    </row>
    <row r="30" spans="1:43" ht="16.5" x14ac:dyDescent="0.3">
      <c r="B30" s="69" t="s">
        <v>17</v>
      </c>
      <c r="C30" s="69"/>
      <c r="D30" s="69"/>
      <c r="E30" s="69"/>
      <c r="F30" s="69"/>
      <c r="G30" s="69"/>
      <c r="H30" s="69"/>
      <c r="I30" s="70"/>
      <c r="J30" s="67"/>
      <c r="K30" s="67"/>
      <c r="M30" s="7" t="str">
        <f t="shared" si="4"/>
        <v/>
      </c>
      <c r="AG30" s="2" t="s">
        <v>22</v>
      </c>
      <c r="AH30" s="2">
        <f>IF($B$32=AG30,$J$32,0)</f>
        <v>0</v>
      </c>
      <c r="AI30" s="6">
        <f>0.4418748*AO19^0.9673953</f>
        <v>0.44187480000000001</v>
      </c>
      <c r="AJ30" s="2">
        <f t="shared" si="1"/>
        <v>0</v>
      </c>
    </row>
    <row r="31" spans="1:43" ht="16.5" x14ac:dyDescent="0.3">
      <c r="B31" s="69" t="s">
        <v>20</v>
      </c>
      <c r="C31" s="69"/>
      <c r="D31" s="69"/>
      <c r="E31" s="69"/>
      <c r="F31" s="69"/>
      <c r="G31" s="69"/>
      <c r="H31" s="69"/>
      <c r="I31" s="70"/>
      <c r="J31" s="67"/>
      <c r="K31" s="67"/>
      <c r="M31" s="7" t="str">
        <f t="shared" si="4"/>
        <v/>
      </c>
      <c r="AG31" s="2" t="s">
        <v>23</v>
      </c>
      <c r="AH31" s="2">
        <f>IF($B$32=AG31,$J$32,0)</f>
        <v>0</v>
      </c>
      <c r="AI31" s="6">
        <f>1.5852166*AO19^0.7101396</f>
        <v>1.5852166000000001</v>
      </c>
      <c r="AJ31" s="2">
        <f t="shared" si="1"/>
        <v>0</v>
      </c>
    </row>
    <row r="32" spans="1:43" ht="16.5" x14ac:dyDescent="0.3">
      <c r="B32" s="69" t="s">
        <v>22</v>
      </c>
      <c r="C32" s="69"/>
      <c r="D32" s="69"/>
      <c r="E32" s="69"/>
      <c r="F32" s="69"/>
      <c r="G32" s="69"/>
      <c r="H32" s="69"/>
      <c r="I32" s="70"/>
      <c r="J32" s="67"/>
      <c r="K32" s="67"/>
      <c r="M32" s="7" t="str">
        <f t="shared" si="4"/>
        <v/>
      </c>
      <c r="AG32" s="2" t="s">
        <v>24</v>
      </c>
      <c r="AH32" s="2">
        <f>IF($B$33=AG32,$J$33,0)</f>
        <v>0</v>
      </c>
      <c r="AI32" s="6">
        <f>0.0281413*AO19^0.7419842</f>
        <v>2.8141300000000001E-2</v>
      </c>
      <c r="AJ32" s="2">
        <f t="shared" si="1"/>
        <v>0</v>
      </c>
    </row>
    <row r="33" spans="1:37" ht="16.5" x14ac:dyDescent="0.3">
      <c r="B33" s="69" t="s">
        <v>24</v>
      </c>
      <c r="C33" s="69"/>
      <c r="D33" s="69"/>
      <c r="E33" s="69"/>
      <c r="F33" s="69"/>
      <c r="G33" s="69"/>
      <c r="H33" s="69"/>
      <c r="I33" s="70"/>
      <c r="J33" s="67"/>
      <c r="K33" s="67"/>
      <c r="M33" s="7" t="str">
        <f t="shared" si="4"/>
        <v/>
      </c>
      <c r="AG33" s="2" t="s">
        <v>25</v>
      </c>
      <c r="AH33" s="2">
        <f>IF($B$33=AG33,$J$33,0)</f>
        <v>0</v>
      </c>
      <c r="AI33" s="6">
        <f>0.3396599*AO19^0.2437952</f>
        <v>0.33965990000000001</v>
      </c>
      <c r="AJ33" s="2">
        <f t="shared" si="1"/>
        <v>0</v>
      </c>
    </row>
    <row r="34" spans="1:37" ht="16.5" x14ac:dyDescent="0.3">
      <c r="B34" s="69" t="s">
        <v>26</v>
      </c>
      <c r="C34" s="69"/>
      <c r="D34" s="69"/>
      <c r="E34" s="69"/>
      <c r="F34" s="69"/>
      <c r="G34" s="69"/>
      <c r="H34" s="69"/>
      <c r="I34" s="70"/>
      <c r="J34" s="67"/>
      <c r="K34" s="67"/>
      <c r="M34" s="7" t="str">
        <f t="shared" si="4"/>
        <v/>
      </c>
      <c r="AG34" s="2" t="s">
        <v>26</v>
      </c>
      <c r="AH34" s="2">
        <f>IF($B$34=AG34,$J$34,0)</f>
        <v>0</v>
      </c>
      <c r="AI34" s="6">
        <f>5.8430694*AO19^0.0172452</f>
        <v>5.8430694000000001</v>
      </c>
      <c r="AJ34" s="2">
        <f t="shared" si="1"/>
        <v>0</v>
      </c>
    </row>
    <row r="35" spans="1:37" ht="16.5" x14ac:dyDescent="0.3">
      <c r="B35" s="69" t="s">
        <v>28</v>
      </c>
      <c r="C35" s="69"/>
      <c r="D35" s="69"/>
      <c r="E35" s="69"/>
      <c r="F35" s="69"/>
      <c r="G35" s="69"/>
      <c r="H35" s="69"/>
      <c r="I35" s="70"/>
      <c r="J35" s="67"/>
      <c r="K35" s="67"/>
      <c r="M35" s="7" t="str">
        <f t="shared" si="4"/>
        <v/>
      </c>
      <c r="AG35" s="2" t="s">
        <v>27</v>
      </c>
      <c r="AH35" s="2">
        <f>IF($B$34=AG35,$J$34,0)</f>
        <v>0</v>
      </c>
      <c r="AI35" s="6">
        <f>0.001008*AO19^2-0.0306468*AO19+6.1538257</f>
        <v>6.1241868999999998</v>
      </c>
      <c r="AJ35" s="2">
        <f t="shared" si="1"/>
        <v>0</v>
      </c>
    </row>
    <row r="36" spans="1:37" ht="16.5" x14ac:dyDescent="0.3">
      <c r="B36" s="69" t="s">
        <v>30</v>
      </c>
      <c r="C36" s="69"/>
      <c r="D36" s="69"/>
      <c r="E36" s="69"/>
      <c r="F36" s="69"/>
      <c r="G36" s="69"/>
      <c r="H36" s="69"/>
      <c r="I36" s="70"/>
      <c r="J36" s="67"/>
      <c r="K36" s="67"/>
      <c r="M36" s="7" t="str">
        <f t="shared" si="4"/>
        <v/>
      </c>
      <c r="AG36" s="2" t="s">
        <v>28</v>
      </c>
      <c r="AH36" s="2">
        <f>IF($B$35=AG36,$J$35,0)</f>
        <v>0</v>
      </c>
      <c r="AI36" s="6">
        <f>0.1877242*AO19^0.9221134</f>
        <v>0.18772420000000001</v>
      </c>
      <c r="AJ36" s="2">
        <f t="shared" si="1"/>
        <v>0</v>
      </c>
    </row>
    <row r="37" spans="1:37" ht="16.5" x14ac:dyDescent="0.3">
      <c r="B37" s="69" t="s">
        <v>32</v>
      </c>
      <c r="C37" s="69"/>
      <c r="D37" s="69"/>
      <c r="E37" s="69"/>
      <c r="F37" s="69"/>
      <c r="G37" s="69"/>
      <c r="H37" s="69"/>
      <c r="I37" s="70"/>
      <c r="J37" s="67"/>
      <c r="K37" s="67"/>
      <c r="M37" s="7" t="str">
        <f t="shared" si="4"/>
        <v/>
      </c>
      <c r="AG37" s="2" t="s">
        <v>29</v>
      </c>
      <c r="AH37" s="2">
        <f>IF($B$35=AG37,$J$35,0)</f>
        <v>0</v>
      </c>
      <c r="AI37" s="6">
        <f>0.0555257*AO19^1.1914134</f>
        <v>5.5525699999999997E-2</v>
      </c>
      <c r="AJ37" s="2">
        <f t="shared" si="1"/>
        <v>0</v>
      </c>
    </row>
    <row r="38" spans="1:37" ht="16.5" x14ac:dyDescent="0.3">
      <c r="B38" s="70" t="s">
        <v>33</v>
      </c>
      <c r="C38" s="71"/>
      <c r="D38" s="71"/>
      <c r="E38" s="71"/>
      <c r="F38" s="71"/>
      <c r="G38" s="71"/>
      <c r="H38" s="71"/>
      <c r="I38" s="72"/>
      <c r="J38" s="67"/>
      <c r="K38" s="67"/>
      <c r="M38" s="7" t="str">
        <f t="shared" si="4"/>
        <v/>
      </c>
      <c r="AG38" s="2" t="s">
        <v>30</v>
      </c>
      <c r="AH38" s="2">
        <f>IF($B$36=AG38,$J$36,0)</f>
        <v>0</v>
      </c>
      <c r="AI38" s="6">
        <f>0.0153989*AO19^0.5877273</f>
        <v>1.53989E-2</v>
      </c>
      <c r="AJ38" s="2">
        <f t="shared" si="1"/>
        <v>0</v>
      </c>
    </row>
    <row r="39" spans="1:37" x14ac:dyDescent="0.2">
      <c r="AG39" s="2" t="s">
        <v>31</v>
      </c>
      <c r="AH39" s="2">
        <f>IF($B$37=AG39,$J$37,0)</f>
        <v>0</v>
      </c>
      <c r="AI39" s="6">
        <f>0.0013188*AO19^1.2005116</f>
        <v>1.3188E-3</v>
      </c>
      <c r="AJ39" s="2">
        <f t="shared" si="1"/>
        <v>0</v>
      </c>
    </row>
    <row r="40" spans="1:37" x14ac:dyDescent="0.2">
      <c r="AG40" s="2" t="s">
        <v>32</v>
      </c>
      <c r="AH40" s="2">
        <f>IF($B$37=AG40,$J$37,0)</f>
        <v>0</v>
      </c>
      <c r="AI40" s="6">
        <f>0.0146645*AO19^1.1805627</f>
        <v>1.46645E-2</v>
      </c>
      <c r="AJ40" s="2">
        <f t="shared" si="1"/>
        <v>0</v>
      </c>
    </row>
    <row r="41" spans="1:37" ht="15" x14ac:dyDescent="0.25">
      <c r="A41" s="3" t="s">
        <v>57</v>
      </c>
      <c r="AG41" s="2" t="s">
        <v>33</v>
      </c>
      <c r="AH41" s="2">
        <f>IF($B$38=AG41,$J$38,0)</f>
        <v>0</v>
      </c>
      <c r="AI41" s="6">
        <f>0.0328964*AO19^1.1498092</f>
        <v>3.2896399999999999E-2</v>
      </c>
      <c r="AJ41" s="2">
        <f t="shared" si="1"/>
        <v>0</v>
      </c>
    </row>
    <row r="42" spans="1:37" ht="5.0999999999999996" hidden="1" customHeight="1" x14ac:dyDescent="0.25">
      <c r="A42" s="3"/>
    </row>
    <row r="43" spans="1:37" ht="15" hidden="1" x14ac:dyDescent="0.25">
      <c r="C43" s="53" t="s">
        <v>35</v>
      </c>
      <c r="D43" s="54"/>
      <c r="E43" s="54"/>
      <c r="F43" s="54"/>
      <c r="G43" s="54"/>
      <c r="H43" s="54"/>
      <c r="I43" s="54"/>
      <c r="J43" s="54"/>
      <c r="K43" s="54"/>
      <c r="L43" s="55"/>
      <c r="M43" s="49" t="str">
        <f>IF(AK13&gt;2000,"Turbulent","Laminaire")</f>
        <v>Laminaire</v>
      </c>
      <c r="N43" s="49"/>
      <c r="O43" s="49"/>
      <c r="P43" s="49"/>
      <c r="Q43" s="49"/>
      <c r="AG43" s="2" t="s">
        <v>44</v>
      </c>
      <c r="AJ43" s="2">
        <f>SUM(AJ18:AJ42)</f>
        <v>0</v>
      </c>
      <c r="AK43" s="2" t="s">
        <v>52</v>
      </c>
    </row>
    <row r="44" spans="1:37" ht="15" hidden="1" x14ac:dyDescent="0.25">
      <c r="C44" s="53" t="s">
        <v>45</v>
      </c>
      <c r="D44" s="54"/>
      <c r="E44" s="54"/>
      <c r="F44" s="54"/>
      <c r="G44" s="54"/>
      <c r="H44" s="54"/>
      <c r="I44" s="54"/>
      <c r="J44" s="54"/>
      <c r="K44" s="54"/>
      <c r="L44" s="55"/>
      <c r="M44" s="50">
        <f>+AK13</f>
        <v>0</v>
      </c>
      <c r="N44" s="50"/>
      <c r="O44" s="50"/>
      <c r="P44" s="50"/>
      <c r="Q44" s="50"/>
    </row>
    <row r="45" spans="1:37" ht="5.0999999999999996" customHeight="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10"/>
      <c r="O45" s="10"/>
      <c r="P45" s="10"/>
      <c r="Q45" s="10"/>
    </row>
    <row r="46" spans="1:37" ht="15" x14ac:dyDescent="0.25">
      <c r="B46" s="3" t="s">
        <v>58</v>
      </c>
      <c r="M46" s="11"/>
      <c r="N46" s="11"/>
      <c r="O46" s="11"/>
      <c r="P46" s="11"/>
      <c r="Q46" s="11"/>
    </row>
    <row r="47" spans="1:37" ht="15" hidden="1" x14ac:dyDescent="0.25">
      <c r="C47" s="52" t="s">
        <v>42</v>
      </c>
      <c r="D47" s="52"/>
      <c r="E47" s="52"/>
      <c r="F47" s="52"/>
      <c r="G47" s="52"/>
      <c r="H47" s="52"/>
      <c r="I47" s="52"/>
      <c r="J47" s="52"/>
      <c r="K47" s="52"/>
      <c r="L47" s="52"/>
      <c r="M47" s="48">
        <f>IF(AK13&gt;2000,AW9,AW8)</f>
        <v>0</v>
      </c>
      <c r="N47" s="48"/>
      <c r="O47" s="48"/>
      <c r="P47" s="48"/>
      <c r="Q47" s="48"/>
      <c r="R47" s="1" t="s">
        <v>53</v>
      </c>
    </row>
    <row r="48" spans="1:37" ht="15" hidden="1" x14ac:dyDescent="0.25">
      <c r="C48" s="52" t="s">
        <v>43</v>
      </c>
      <c r="D48" s="52"/>
      <c r="E48" s="52"/>
      <c r="F48" s="52"/>
      <c r="G48" s="52"/>
      <c r="H48" s="52"/>
      <c r="I48" s="52"/>
      <c r="J48" s="52"/>
      <c r="K48" s="52"/>
      <c r="L48" s="52"/>
      <c r="M48" s="48">
        <f>+M47+AT14</f>
        <v>0</v>
      </c>
      <c r="N48" s="48"/>
      <c r="O48" s="48"/>
      <c r="P48" s="48"/>
      <c r="Q48" s="48"/>
      <c r="R48" s="1" t="s">
        <v>53</v>
      </c>
    </row>
    <row r="49" spans="2:18" ht="15" x14ac:dyDescent="0.25">
      <c r="C49" s="52" t="s">
        <v>44</v>
      </c>
      <c r="D49" s="52"/>
      <c r="E49" s="52"/>
      <c r="F49" s="52"/>
      <c r="G49" s="52"/>
      <c r="H49" s="52"/>
      <c r="I49" s="52"/>
      <c r="J49" s="52"/>
      <c r="K49" s="52"/>
      <c r="L49" s="52"/>
      <c r="M49" s="48">
        <f>(M48*100000)/(9.81*(AK15*1000))</f>
        <v>0</v>
      </c>
      <c r="N49" s="48"/>
      <c r="O49" s="48"/>
      <c r="P49" s="48"/>
      <c r="Q49" s="48"/>
      <c r="R49" s="1" t="s">
        <v>52</v>
      </c>
    </row>
    <row r="50" spans="2:18" ht="5.0999999999999996" customHeight="1" x14ac:dyDescent="0.2"/>
    <row r="51" spans="2:18" ht="15" x14ac:dyDescent="0.25">
      <c r="B51" s="3" t="s">
        <v>47</v>
      </c>
    </row>
    <row r="52" spans="2:18" ht="15" x14ac:dyDescent="0.25">
      <c r="C52" s="52" t="s">
        <v>48</v>
      </c>
      <c r="D52" s="52"/>
      <c r="E52" s="52"/>
      <c r="F52" s="52"/>
      <c r="G52" s="52"/>
      <c r="H52" s="52"/>
      <c r="I52" s="52"/>
      <c r="J52" s="52"/>
      <c r="K52" s="52"/>
      <c r="L52" s="52"/>
      <c r="M52" s="48">
        <f>+AK14/100</f>
        <v>0</v>
      </c>
      <c r="N52" s="49"/>
      <c r="O52" s="49"/>
      <c r="P52" s="49"/>
      <c r="Q52" s="49"/>
      <c r="R52" s="1" t="s">
        <v>54</v>
      </c>
    </row>
    <row r="53" spans="2:18" ht="15" hidden="1" x14ac:dyDescent="0.25">
      <c r="C53" s="52" t="s">
        <v>60</v>
      </c>
      <c r="D53" s="52"/>
      <c r="E53" s="52"/>
      <c r="F53" s="52"/>
      <c r="G53" s="52"/>
      <c r="H53" s="52"/>
      <c r="I53" s="52"/>
      <c r="J53" s="52"/>
      <c r="K53" s="52"/>
      <c r="L53" s="52"/>
      <c r="M53" s="48">
        <f>(J17*M47)/36</f>
        <v>0</v>
      </c>
      <c r="N53" s="48"/>
      <c r="O53" s="48"/>
      <c r="P53" s="48"/>
      <c r="Q53" s="48"/>
      <c r="R53" s="1" t="s">
        <v>55</v>
      </c>
    </row>
    <row r="54" spans="2:18" ht="17.25" hidden="1" x14ac:dyDescent="0.25">
      <c r="C54" s="52" t="s">
        <v>49</v>
      </c>
      <c r="D54" s="52"/>
      <c r="E54" s="52"/>
      <c r="F54" s="52"/>
      <c r="G54" s="52"/>
      <c r="H54" s="52"/>
      <c r="I54" s="52"/>
      <c r="J54" s="52"/>
      <c r="K54" s="52"/>
      <c r="L54" s="52"/>
      <c r="M54" s="50">
        <f>(4*J17)/(3600*3.141592657*((J19/2/1000)*(J19/2/1000)*(J19/2/1000)))</f>
        <v>0</v>
      </c>
      <c r="N54" s="50"/>
      <c r="O54" s="50"/>
      <c r="P54" s="50"/>
      <c r="Q54" s="50"/>
      <c r="R54" s="1" t="s">
        <v>56</v>
      </c>
    </row>
  </sheetData>
  <sheetProtection password="DCC8" sheet="1" objects="1" scenarios="1" selectLockedCells="1"/>
  <mergeCells count="77">
    <mergeCell ref="B33:I33"/>
    <mergeCell ref="B34:I34"/>
    <mergeCell ref="B37:I37"/>
    <mergeCell ref="B38:I38"/>
    <mergeCell ref="B35:I35"/>
    <mergeCell ref="B36:I36"/>
    <mergeCell ref="J28:K28"/>
    <mergeCell ref="J29:K29"/>
    <mergeCell ref="J30:K30"/>
    <mergeCell ref="J27:K27"/>
    <mergeCell ref="B32:I32"/>
    <mergeCell ref="B28:I28"/>
    <mergeCell ref="B29:I29"/>
    <mergeCell ref="B30:I30"/>
    <mergeCell ref="B31:I31"/>
    <mergeCell ref="J36:K36"/>
    <mergeCell ref="J37:K37"/>
    <mergeCell ref="J38:K38"/>
    <mergeCell ref="J31:K31"/>
    <mergeCell ref="J32:K32"/>
    <mergeCell ref="J33:K33"/>
    <mergeCell ref="J34:K34"/>
    <mergeCell ref="J35:K35"/>
    <mergeCell ref="M49:Q49"/>
    <mergeCell ref="B8:G9"/>
    <mergeCell ref="H8:N9"/>
    <mergeCell ref="B12:G13"/>
    <mergeCell ref="H12:N13"/>
    <mergeCell ref="M43:Q43"/>
    <mergeCell ref="L17:M18"/>
    <mergeCell ref="L21:M22"/>
    <mergeCell ref="L23:M24"/>
    <mergeCell ref="B23:I24"/>
    <mergeCell ref="J17:K18"/>
    <mergeCell ref="J19:K20"/>
    <mergeCell ref="J21:K22"/>
    <mergeCell ref="J23:K24"/>
    <mergeCell ref="B17:I18"/>
    <mergeCell ref="B21:I22"/>
    <mergeCell ref="M52:Q52"/>
    <mergeCell ref="M53:Q53"/>
    <mergeCell ref="M54:Q54"/>
    <mergeCell ref="L19:V20"/>
    <mergeCell ref="O12:R13"/>
    <mergeCell ref="C47:L47"/>
    <mergeCell ref="C48:L48"/>
    <mergeCell ref="C49:L49"/>
    <mergeCell ref="C52:L52"/>
    <mergeCell ref="C53:L53"/>
    <mergeCell ref="C54:L54"/>
    <mergeCell ref="C43:L43"/>
    <mergeCell ref="C44:L44"/>
    <mergeCell ref="M44:Q44"/>
    <mergeCell ref="M47:Q47"/>
    <mergeCell ref="M48:Q48"/>
    <mergeCell ref="B10:G11"/>
    <mergeCell ref="H10:N11"/>
    <mergeCell ref="A1:V3"/>
    <mergeCell ref="AO19:AP19"/>
    <mergeCell ref="AK7:AL7"/>
    <mergeCell ref="AK6:AL6"/>
    <mergeCell ref="AK15:AL15"/>
    <mergeCell ref="O4:V5"/>
    <mergeCell ref="H6:N7"/>
    <mergeCell ref="B6:G7"/>
    <mergeCell ref="B19:I20"/>
    <mergeCell ref="O8:R9"/>
    <mergeCell ref="O10:R11"/>
    <mergeCell ref="AW8:AX8"/>
    <mergeCell ref="AW9:AX9"/>
    <mergeCell ref="AT14:AU14"/>
    <mergeCell ref="O6:V7"/>
    <mergeCell ref="AK8:AL8"/>
    <mergeCell ref="AK9:AL9"/>
    <mergeCell ref="AK12:AL12"/>
    <mergeCell ref="AK14:AL14"/>
    <mergeCell ref="AK13:AL13"/>
  </mergeCells>
  <dataValidations count="9">
    <dataValidation type="list" allowBlank="1" showInputMessage="1" showErrorMessage="1" sqref="B28">
      <formula1>AG18:AG21</formula1>
    </dataValidation>
    <dataValidation type="list" allowBlank="1" showInputMessage="1" showErrorMessage="1" sqref="B29">
      <formula1>$AG$22:$AG$23</formula1>
    </dataValidation>
    <dataValidation type="list" allowBlank="1" showInputMessage="1" showErrorMessage="1" sqref="B30">
      <formula1>$AG$24:$AG$27</formula1>
    </dataValidation>
    <dataValidation type="list" allowBlank="1" showInputMessage="1" showErrorMessage="1" sqref="B31">
      <formula1>$AG$28:$AG$29</formula1>
    </dataValidation>
    <dataValidation type="list" allowBlank="1" showInputMessage="1" showErrorMessage="1" sqref="B32">
      <formula1>$AG$30:$AG$31</formula1>
    </dataValidation>
    <dataValidation type="list" allowBlank="1" showInputMessage="1" showErrorMessage="1" sqref="B33">
      <formula1>$AG$32:$AG$33</formula1>
    </dataValidation>
    <dataValidation type="list" allowBlank="1" showInputMessage="1" showErrorMessage="1" sqref="B34">
      <formula1>$AG$34:$AG$35</formula1>
    </dataValidation>
    <dataValidation type="list" allowBlank="1" showInputMessage="1" showErrorMessage="1" sqref="B35">
      <formula1>$AG$36:$AG$37</formula1>
    </dataValidation>
    <dataValidation type="list" allowBlank="1" showInputMessage="1" showErrorMessage="1" sqref="B37">
      <formula1>$AG$39:$AG$40</formula1>
    </dataValidation>
  </dataValidations>
  <printOptions horizontalCentered="1" vertic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&amp;L&amp;"Arial Narrow,Normal"&amp;9&amp;G
&amp;"-,Normal"
&amp;R&amp;G</oddHeader>
    <oddFooter>&amp;L&amp;"Arial,Normal"&amp;8Perte de charge rev.3&amp;C&amp;"Arial,Normal"&amp;8SvL&amp;R&amp;"Arial,Normal"&amp;8 21/07/2011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VANLANGEN 2</dc:creator>
  <cp:lastModifiedBy>Sander VANLANGEN 2</cp:lastModifiedBy>
  <cp:lastPrinted>2011-07-21T05:53:50Z</cp:lastPrinted>
  <dcterms:created xsi:type="dcterms:W3CDTF">2011-07-13T09:12:47Z</dcterms:created>
  <dcterms:modified xsi:type="dcterms:W3CDTF">2011-07-21T05:53:58Z</dcterms:modified>
</cp:coreProperties>
</file>